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64" windowWidth="15108" windowHeight="8700" activeTab="0"/>
  </bookViews>
  <sheets>
    <sheet name="Plan1" sheetId="1" r:id="rId1"/>
    <sheet name="Plan2" sheetId="2" r:id="rId2"/>
    <sheet name="Plan3" sheetId="3" r:id="rId3"/>
  </sheets>
  <definedNames>
    <definedName name="cap._adj">'Plan1'!$B$53</definedName>
    <definedName name="cap._ajuste__pF">'Plan1'!$B$53</definedName>
    <definedName name="Cmax">'Plan1'!$C$53</definedName>
    <definedName name="Cmin">'Plan1'!$C$53</definedName>
    <definedName name="freq._lim._inf.">'Plan1'!$A$50</definedName>
    <definedName name="freq._limite_sup.">'Plan1'!$B$50</definedName>
    <definedName name="indutância">'Plan1'!$A$53</definedName>
  </definedNames>
  <calcPr fullCalcOnLoad="1" iterate="1" iterateCount="1000" iterateDelta="100"/>
</workbook>
</file>

<file path=xl/sharedStrings.xml><?xml version="1.0" encoding="utf-8"?>
<sst xmlns="http://schemas.openxmlformats.org/spreadsheetml/2006/main" count="72" uniqueCount="71">
  <si>
    <t>Q</t>
  </si>
  <si>
    <t>Q1</t>
  </si>
  <si>
    <t>Q2</t>
  </si>
  <si>
    <t>XL</t>
  </si>
  <si>
    <t>freq (MHz)</t>
  </si>
  <si>
    <t>cap placa (pF)</t>
  </si>
  <si>
    <t>indutor (uH)</t>
  </si>
  <si>
    <t>cap antena (pF)</t>
  </si>
  <si>
    <t>res. carga (ohm)</t>
  </si>
  <si>
    <t>Δ</t>
  </si>
  <si>
    <t>corrente de pico (A)</t>
  </si>
  <si>
    <t>rendimento η</t>
  </si>
  <si>
    <t>portadora equiv. (W)</t>
  </si>
  <si>
    <t>dissip max. valvula(s) (W)</t>
  </si>
  <si>
    <t>tensão DC (V)</t>
  </si>
  <si>
    <t>tensão min. de placa (V)</t>
  </si>
  <si>
    <t>2) entrar com a tensão minima de placa (ponto onde a curva de corrente de screen corta a de placa p/ a corr. de pico calculada)</t>
  </si>
  <si>
    <t>saida PEP (W)</t>
  </si>
  <si>
    <t>pot. entr. 100% mod.</t>
  </si>
  <si>
    <t>tensão DC p/ CW</t>
  </si>
  <si>
    <t>diss. placa 100% mod</t>
  </si>
  <si>
    <t>4) entrar c/ a dissipação max.de placa da (s) valvula(s)</t>
  </si>
  <si>
    <t>100% de modulação senoidal</t>
  </si>
  <si>
    <t>7) a tensão DC p/ CW corresponde à máxima potência de CW que o transformador permite</t>
  </si>
  <si>
    <t>indutância (uH)</t>
  </si>
  <si>
    <t>cálculo do VFO</t>
  </si>
  <si>
    <t>Procedimento p/ cálculo:  entrar c/  valores somente nos campos vermelhos</t>
  </si>
  <si>
    <t>freq. limite sup. (MHz)</t>
  </si>
  <si>
    <t>freq. lim. inf. (Mhz)</t>
  </si>
  <si>
    <t>pos. dial (0 a 100)</t>
  </si>
  <si>
    <t>Calibração do dial</t>
  </si>
  <si>
    <t>freq. dial (MHz)</t>
  </si>
  <si>
    <t>Ctot min (pF)</t>
  </si>
  <si>
    <t>Ctot max (pF)</t>
  </si>
  <si>
    <t>cap. serie (pF)</t>
  </si>
  <si>
    <t>cap.var.max (pF)</t>
  </si>
  <si>
    <t>cap.var. mín (pF)</t>
  </si>
  <si>
    <t>Ypar(1/pF)</t>
  </si>
  <si>
    <t>cap. ajuste (pF)</t>
  </si>
  <si>
    <t>F</t>
  </si>
  <si>
    <t>b</t>
  </si>
  <si>
    <t xml:space="preserve">raiz de Δ  </t>
  </si>
  <si>
    <t>Amplificador classe C modulação por corrente e portadora controlada</t>
  </si>
  <si>
    <t>corr. media (A)</t>
  </si>
  <si>
    <t>Vp RF (V)</t>
  </si>
  <si>
    <t>sem audio, portadora controlada</t>
  </si>
  <si>
    <t xml:space="preserve">Vp= (E -raiz(Δ))/2 </t>
  </si>
  <si>
    <t>corr media Im (A)</t>
  </si>
  <si>
    <t>max rendimento η</t>
  </si>
  <si>
    <t>Pd= Pi-Po =Po/η - Po  =(Vp²/2R) / ((Vp/Vcc)*ηmax) - Vp²/2R =&gt;</t>
  </si>
  <si>
    <t>cálculo para PEP e portadora controlada:</t>
  </si>
  <si>
    <t xml:space="preserve">5) para aumentar a potência de saida da portadora controlada, diminuir a a potência de saida PEP </t>
  </si>
  <si>
    <t>pot entr(W)</t>
  </si>
  <si>
    <t>dissip de placa (W)</t>
  </si>
  <si>
    <t>para 100% modulação</t>
  </si>
  <si>
    <t>Pd= Pi - Po</t>
  </si>
  <si>
    <t>Pi= Vcc(Vcc-Vmin) / (π R)</t>
  </si>
  <si>
    <r>
      <t>Imed = Vpep/ (π R)  =(Vcc-Vmin) / (</t>
    </r>
    <r>
      <rPr>
        <sz val="10"/>
        <rFont val="Arial"/>
        <family val="2"/>
      </rPr>
      <t xml:space="preserve">π </t>
    </r>
    <r>
      <rPr>
        <sz val="10"/>
        <rFont val="Arial"/>
        <family val="0"/>
      </rPr>
      <t>R)</t>
    </r>
  </si>
  <si>
    <t>3) entrar c/ a tensão DC, verificando se a corr. de pico não excedeu a corrente max da valvula. Aumente a tensão ou reduza a pot. PEP se necessário</t>
  </si>
  <si>
    <t>8) Entre com os valores do cap. variável, os limites de frequência e a cap. série. A planilha calcula a indutância e o cap. paralelo. A cap. série é a dos capacitores divisores grade/catodo e a paralela é do capacitor em paralelo com o variavel.</t>
  </si>
  <si>
    <t>9) Para calibrar o dial, entre com a posição linear, será indicada a frequência correspondente</t>
  </si>
  <si>
    <t>tensão DC para CW</t>
  </si>
  <si>
    <t>Vcw= Vmin+ raiz(2 Ptrafo R η)</t>
  </si>
  <si>
    <t xml:space="preserve">Ptrafo =Pcw / η  =(Vcw-Vmin)² /2Rη  </t>
  </si>
  <si>
    <t>pot. entr  (W)</t>
  </si>
  <si>
    <t>portadora (W)</t>
  </si>
  <si>
    <t>Vp²- (Vcc/ηmax) Vp +2RPd = 0</t>
  </si>
  <si>
    <t>Δ= (Vcc/ηmax)² - 8*R*Pd</t>
  </si>
  <si>
    <t>η=Po/Pi ; η=(Vp/Vcc)*ηmax;  Po=(Vp)²/2R</t>
  </si>
  <si>
    <t>1) entrar com a potência PEP de saida, a frequência de trabalho, o Q do circuito Pi e o maximo rendimento: p/ ang. de condução de 120° é 0,9 (handbook)</t>
  </si>
  <si>
    <t>6) a potencia de entrada c/ 100% de modulação pode ser usada para o calculo do transformador de força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</si>
</sst>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  <numFmt numFmtId="166" formatCode="0.00000000"/>
    <numFmt numFmtId="167" formatCode="0.0000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50"/>
      <name val="Arial"/>
      <family val="2"/>
    </font>
    <font>
      <sz val="10"/>
      <color indexed="22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" fontId="7" fillId="0" borderId="0" xfId="0" applyNumberFormat="1" applyFont="1" applyAlignment="1">
      <alignment/>
    </xf>
    <xf numFmtId="0" fontId="3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1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 readingOrder="1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1" fontId="1" fillId="0" borderId="7" xfId="0" applyNumberFormat="1" applyFont="1" applyBorder="1" applyAlignment="1" applyProtection="1">
      <alignment/>
      <protection locked="0"/>
    </xf>
    <xf numFmtId="0" fontId="6" fillId="0" borderId="3" xfId="0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1" fontId="1" fillId="0" borderId="7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7" fillId="0" borderId="9" xfId="0" applyFont="1" applyBorder="1" applyAlignment="1">
      <alignment horizontal="center" readingOrder="1"/>
    </xf>
    <xf numFmtId="0" fontId="1" fillId="0" borderId="9" xfId="0" applyFont="1" applyBorder="1" applyAlignment="1">
      <alignment horizontal="center" readingOrder="1"/>
    </xf>
    <xf numFmtId="0" fontId="7" fillId="0" borderId="10" xfId="0" applyFont="1" applyBorder="1" applyAlignment="1">
      <alignment/>
    </xf>
    <xf numFmtId="0" fontId="7" fillId="0" borderId="9" xfId="0" applyFont="1" applyBorder="1" applyAlignment="1">
      <alignment/>
    </xf>
    <xf numFmtId="0" fontId="1" fillId="0" borderId="9" xfId="0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6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" fontId="3" fillId="0" borderId="7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3" fillId="0" borderId="8" xfId="0" applyFont="1" applyBorder="1" applyAlignment="1">
      <alignment/>
    </xf>
    <xf numFmtId="166" fontId="0" fillId="0" borderId="0" xfId="0" applyNumberFormat="1" applyAlignment="1">
      <alignment horizontal="left" indent="2"/>
    </xf>
    <xf numFmtId="165" fontId="1" fillId="0" borderId="4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/>
    </xf>
    <xf numFmtId="166" fontId="9" fillId="0" borderId="0" xfId="0" applyNumberFormat="1" applyFont="1" applyAlignment="1">
      <alignment/>
    </xf>
    <xf numFmtId="166" fontId="9" fillId="0" borderId="6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6" xfId="0" applyFont="1" applyBorder="1" applyAlignment="1">
      <alignment horizontal="center" vertical="center"/>
    </xf>
    <xf numFmtId="166" fontId="9" fillId="0" borderId="0" xfId="0" applyNumberFormat="1" applyFont="1" applyAlignment="1">
      <alignment horizontal="right" vertical="center"/>
    </xf>
    <xf numFmtId="166" fontId="9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2" fontId="9" fillId="0" borderId="6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1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64" fontId="1" fillId="0" borderId="0" xfId="0" applyNumberFormat="1" applyFont="1" applyAlignment="1">
      <alignment horizontal="right" vertical="center"/>
    </xf>
    <xf numFmtId="0" fontId="0" fillId="0" borderId="9" xfId="0" applyFont="1" applyBorder="1" applyAlignment="1">
      <alignment/>
    </xf>
    <xf numFmtId="1" fontId="11" fillId="0" borderId="0" xfId="0" applyNumberFormat="1" applyFont="1" applyAlignment="1">
      <alignment/>
    </xf>
    <xf numFmtId="165" fontId="1" fillId="0" borderId="6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justify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9">
      <selection activeCell="F13" sqref="F13"/>
    </sheetView>
  </sheetViews>
  <sheetFormatPr defaultColWidth="9.140625" defaultRowHeight="12.75"/>
  <cols>
    <col min="1" max="1" width="18.00390625" style="0" customWidth="1"/>
    <col min="2" max="2" width="23.28125" style="0" customWidth="1"/>
    <col min="3" max="3" width="18.7109375" style="0" customWidth="1"/>
    <col min="4" max="4" width="22.28125" style="0" customWidth="1"/>
    <col min="5" max="5" width="21.421875" style="0" customWidth="1"/>
    <col min="6" max="6" width="10.140625" style="0" customWidth="1"/>
    <col min="7" max="7" width="7.28125" style="0" customWidth="1"/>
  </cols>
  <sheetData>
    <row r="1" s="80" customFormat="1" ht="27.75" customHeight="1">
      <c r="A1" s="80" t="s">
        <v>42</v>
      </c>
    </row>
    <row r="2" s="81" customFormat="1" ht="23.25" customHeight="1">
      <c r="A2" s="79" t="s">
        <v>26</v>
      </c>
    </row>
    <row r="3" s="82" customFormat="1" ht="15" customHeight="1">
      <c r="A3" s="82" t="s">
        <v>69</v>
      </c>
    </row>
    <row r="4" s="82" customFormat="1" ht="15" customHeight="1">
      <c r="A4" s="82" t="s">
        <v>16</v>
      </c>
    </row>
    <row r="5" s="76" customFormat="1" ht="12.75">
      <c r="A5" s="76" t="s">
        <v>58</v>
      </c>
    </row>
    <row r="6" s="76" customFormat="1" ht="12.75">
      <c r="A6" s="76" t="s">
        <v>21</v>
      </c>
    </row>
    <row r="7" s="76" customFormat="1" ht="12.75">
      <c r="A7" s="76" t="s">
        <v>51</v>
      </c>
    </row>
    <row r="8" s="76" customFormat="1" ht="12.75">
      <c r="A8" s="76" t="s">
        <v>70</v>
      </c>
    </row>
    <row r="9" s="76" customFormat="1" ht="12.75">
      <c r="A9" s="76" t="s">
        <v>23</v>
      </c>
    </row>
    <row r="10" spans="1:7" s="48" customFormat="1" ht="24.75" customHeight="1">
      <c r="A10" s="77" t="s">
        <v>59</v>
      </c>
      <c r="B10" s="77"/>
      <c r="C10" s="77"/>
      <c r="D10" s="77"/>
      <c r="E10" s="77"/>
      <c r="F10" s="77"/>
      <c r="G10" s="77"/>
    </row>
    <row r="11" s="76" customFormat="1" ht="12.75">
      <c r="A11" s="76" t="s">
        <v>60</v>
      </c>
    </row>
    <row r="12" s="48" customFormat="1" ht="12.75"/>
    <row r="13" s="48" customFormat="1" ht="12.75"/>
    <row r="14" ht="13.5" thickBot="1"/>
    <row r="15" s="25" customFormat="1" ht="13.5" thickTop="1">
      <c r="A15" s="26"/>
    </row>
    <row r="16" spans="1:7" s="22" customFormat="1" ht="12.75">
      <c r="A16" s="23" t="s">
        <v>17</v>
      </c>
      <c r="B16" s="24"/>
      <c r="C16" s="24" t="s">
        <v>14</v>
      </c>
      <c r="D16" s="20" t="s">
        <v>15</v>
      </c>
      <c r="E16" s="20" t="s">
        <v>48</v>
      </c>
      <c r="F16" s="20" t="s">
        <v>4</v>
      </c>
      <c r="G16" s="24" t="s">
        <v>0</v>
      </c>
    </row>
    <row r="17" spans="1:7" s="16" customFormat="1" ht="13.5" thickBot="1">
      <c r="A17" s="15">
        <v>400</v>
      </c>
      <c r="C17" s="16">
        <v>900</v>
      </c>
      <c r="D17" s="16">
        <v>40</v>
      </c>
      <c r="E17" s="16">
        <v>0.9</v>
      </c>
      <c r="F17" s="16">
        <v>3.55</v>
      </c>
      <c r="G17" s="16">
        <v>7</v>
      </c>
    </row>
    <row r="18" s="1" customFormat="1" ht="13.5" thickTop="1"/>
    <row r="19" spans="1:5" s="7" customFormat="1" ht="12.75">
      <c r="A19" s="7" t="s">
        <v>52</v>
      </c>
      <c r="B19" s="7" t="s">
        <v>53</v>
      </c>
      <c r="C19" s="7" t="s">
        <v>10</v>
      </c>
      <c r="D19" s="7" t="s">
        <v>8</v>
      </c>
      <c r="E19" s="7" t="s">
        <v>43</v>
      </c>
    </row>
    <row r="20" spans="1:5" s="1" customFormat="1" ht="12.75">
      <c r="A20" s="4">
        <f>A17/(D23)</f>
        <v>465.1162790697675</v>
      </c>
      <c r="B20" s="4">
        <f>(1-D23)*A17/D23</f>
        <v>65.11627906976746</v>
      </c>
      <c r="C20" s="3">
        <f>4.9*E20</f>
        <v>2.532299741602068</v>
      </c>
      <c r="D20" s="4">
        <f>POWER((C17-D17),2)/(A17*2)</f>
        <v>924.5</v>
      </c>
      <c r="E20" s="12">
        <f>A20/C17</f>
        <v>0.516795865633075</v>
      </c>
    </row>
    <row r="21" s="1" customFormat="1" ht="12.75"/>
    <row r="22" spans="1:5" s="7" customFormat="1" ht="12.75">
      <c r="A22" s="7" t="s">
        <v>5</v>
      </c>
      <c r="B22" s="7" t="s">
        <v>6</v>
      </c>
      <c r="C22" s="7" t="s">
        <v>7</v>
      </c>
      <c r="D22" s="11" t="s">
        <v>11</v>
      </c>
      <c r="E22" s="7" t="s">
        <v>12</v>
      </c>
    </row>
    <row r="23" spans="1:5" s="1" customFormat="1" ht="12.75">
      <c r="A23" s="10">
        <f>1000000/(6.28*F17*D20/A27)</f>
        <v>291.0896644633376</v>
      </c>
      <c r="B23" s="3">
        <f>C27/(6.28*F17)</f>
        <v>7.846441520729982</v>
      </c>
      <c r="C23" s="10">
        <f>1000000/(6.28*F17*50/B27)</f>
        <v>897.4686197273234</v>
      </c>
      <c r="D23" s="12">
        <f>E17*(C17-D17)/C17</f>
        <v>0.86</v>
      </c>
      <c r="E23" s="10">
        <f>A17/4</f>
        <v>100</v>
      </c>
    </row>
    <row r="24" spans="3:5" s="37" customFormat="1" ht="13.5" thickBot="1">
      <c r="C24" s="38"/>
      <c r="E24" s="44"/>
    </row>
    <row r="25" ht="13.5" thickTop="1">
      <c r="E25" s="7"/>
    </row>
    <row r="26" spans="1:5" s="5" customFormat="1" ht="12.75">
      <c r="A26" s="52" t="s">
        <v>1</v>
      </c>
      <c r="B26" s="52" t="s">
        <v>2</v>
      </c>
      <c r="C26" s="64" t="s">
        <v>3</v>
      </c>
      <c r="E26" s="4"/>
    </row>
    <row r="27" spans="1:5" s="9" customFormat="1" ht="12.75">
      <c r="A27" s="52">
        <f>(D20*G17-SQRT(50*D20*G17*G17-(D20-50)*(D20-50)))/(D20-50)</f>
        <v>5.999591729589953</v>
      </c>
      <c r="B27" s="52">
        <f>G17-A27</f>
        <v>1.0004082704100474</v>
      </c>
      <c r="C27" s="52">
        <f>(D20*G17)/(A27*A27+1)</f>
        <v>174.92856726315424</v>
      </c>
      <c r="E27" s="7"/>
    </row>
    <row r="28" s="9" customFormat="1" ht="12.75">
      <c r="E28" s="7"/>
    </row>
    <row r="29" s="9" customFormat="1" ht="12.75">
      <c r="E29" s="7"/>
    </row>
    <row r="30" spans="1:5" s="9" customFormat="1" ht="13.5" thickBot="1">
      <c r="A30" s="19"/>
      <c r="B30" s="19"/>
      <c r="C30" s="19"/>
      <c r="E30" s="7"/>
    </row>
    <row r="31" spans="1:6" s="42" customFormat="1" ht="14.25" thickBot="1" thickTop="1">
      <c r="A31" s="39"/>
      <c r="B31" s="40" t="s">
        <v>45</v>
      </c>
      <c r="C31" s="39"/>
      <c r="D31" s="41"/>
      <c r="E31" s="72"/>
      <c r="F31" s="43" t="s">
        <v>22</v>
      </c>
    </row>
    <row r="32" spans="1:7" s="22" customFormat="1" ht="13.5" thickTop="1">
      <c r="A32" s="20"/>
      <c r="B32" s="20" t="s">
        <v>13</v>
      </c>
      <c r="C32" s="21"/>
      <c r="D32" s="27"/>
      <c r="E32" s="20"/>
      <c r="F32" s="20"/>
      <c r="G32" s="20"/>
    </row>
    <row r="33" spans="2:4" s="16" customFormat="1" ht="13.5" thickBot="1">
      <c r="B33" s="16">
        <v>100</v>
      </c>
      <c r="C33" s="17"/>
      <c r="D33" s="28"/>
    </row>
    <row r="34" spans="1:4" s="1" customFormat="1" ht="13.5" thickTop="1">
      <c r="A34" s="13"/>
      <c r="D34" s="33"/>
    </row>
    <row r="35" spans="1:5" s="7" customFormat="1" ht="12.75">
      <c r="A35" s="35" t="s">
        <v>64</v>
      </c>
      <c r="B35" s="7" t="s">
        <v>65</v>
      </c>
      <c r="C35" s="7" t="s">
        <v>47</v>
      </c>
      <c r="D35" s="31" t="s">
        <v>11</v>
      </c>
      <c r="E35" s="7" t="s">
        <v>20</v>
      </c>
    </row>
    <row r="36" spans="1:5" s="1" customFormat="1" ht="12.75">
      <c r="A36" s="36">
        <f>B36+B33</f>
        <v>132.42454491970716</v>
      </c>
      <c r="B36" s="10">
        <f>A38*A38/(2*D20)</f>
        <v>32.42454491970715</v>
      </c>
      <c r="C36" s="12">
        <f>A36/C17</f>
        <v>0.14713838324411907</v>
      </c>
      <c r="D36" s="74">
        <f>B36/A36</f>
        <v>0.2448529835565385</v>
      </c>
      <c r="E36" s="10">
        <f>E39-(A17/2)</f>
        <v>66.49137456250998</v>
      </c>
    </row>
    <row r="37" spans="1:4" s="1" customFormat="1" ht="12.75">
      <c r="A37" s="35" t="s">
        <v>44</v>
      </c>
      <c r="B37" s="66"/>
      <c r="C37" s="66"/>
      <c r="D37" s="67"/>
    </row>
    <row r="38" spans="1:5" s="1" customFormat="1" ht="12.75">
      <c r="A38" s="69">
        <f>IF(B40&gt;0,(A40-C40)/2,(C17-D17)/2)</f>
        <v>244.85298355653853</v>
      </c>
      <c r="D38" s="27"/>
      <c r="E38" s="1" t="s">
        <v>18</v>
      </c>
    </row>
    <row r="39" spans="1:5" s="5" customFormat="1" ht="12.75">
      <c r="A39" s="65" t="s">
        <v>40</v>
      </c>
      <c r="B39" s="64" t="s">
        <v>9</v>
      </c>
      <c r="C39" s="64" t="s">
        <v>41</v>
      </c>
      <c r="D39" s="32"/>
      <c r="E39" s="71">
        <f>(C17*(C17-D17))/(3.1416*D20)</f>
        <v>266.49137456251</v>
      </c>
    </row>
    <row r="40" spans="1:5" s="29" customFormat="1" ht="13.5" thickBot="1">
      <c r="A40" s="54">
        <f>(1/E17)*C17</f>
        <v>1000</v>
      </c>
      <c r="B40" s="68">
        <f>(A40*A40)-(8*D20*B33)</f>
        <v>260400</v>
      </c>
      <c r="C40" s="54">
        <f>SQRT(B40)</f>
        <v>510.29403288692293</v>
      </c>
      <c r="D40" s="34"/>
      <c r="E40" s="30"/>
    </row>
    <row r="41" spans="4:5" s="45" customFormat="1" ht="13.5" thickTop="1">
      <c r="D41" s="36"/>
      <c r="E41" s="46"/>
    </row>
    <row r="42" spans="1:5" ht="12.75">
      <c r="A42" s="70"/>
      <c r="D42" s="8"/>
      <c r="E42" s="7" t="s">
        <v>19</v>
      </c>
    </row>
    <row r="43" s="5" customFormat="1" ht="12.75">
      <c r="E43" s="18">
        <f>SQRT(E39*D23*2*D20)+D17</f>
        <v>690.9674295591367</v>
      </c>
    </row>
    <row r="44" s="5" customFormat="1" ht="12.75">
      <c r="E44" s="73"/>
    </row>
    <row r="46" spans="2:8" ht="12.75">
      <c r="B46" s="2"/>
      <c r="C46" s="6"/>
      <c r="D46" s="6"/>
      <c r="E46" s="2"/>
      <c r="F46" s="2"/>
      <c r="G46" s="2"/>
      <c r="H46" s="2"/>
    </row>
    <row r="47" ht="13.5" thickBot="1"/>
    <row r="48" spans="1:6" s="42" customFormat="1" ht="14.25" thickBot="1" thickTop="1">
      <c r="A48" s="39"/>
      <c r="B48" s="40" t="s">
        <v>25</v>
      </c>
      <c r="C48" s="39"/>
      <c r="D48" s="41"/>
      <c r="F48" s="43" t="s">
        <v>30</v>
      </c>
    </row>
    <row r="49" spans="1:7" s="22" customFormat="1" ht="13.5" thickTop="1">
      <c r="A49" s="20" t="s">
        <v>28</v>
      </c>
      <c r="B49" s="20" t="s">
        <v>27</v>
      </c>
      <c r="C49" s="20" t="s">
        <v>36</v>
      </c>
      <c r="D49" s="49" t="s">
        <v>35</v>
      </c>
      <c r="E49" s="20" t="s">
        <v>29</v>
      </c>
      <c r="F49" s="20"/>
      <c r="G49" s="20"/>
    </row>
    <row r="50" spans="1:5" s="16" customFormat="1" ht="13.5" thickBot="1">
      <c r="A50" s="16">
        <v>3.545</v>
      </c>
      <c r="B50" s="16">
        <v>3.655</v>
      </c>
      <c r="C50" s="16">
        <v>7.5</v>
      </c>
      <c r="D50" s="47">
        <v>30</v>
      </c>
      <c r="E50" s="16">
        <v>50</v>
      </c>
    </row>
    <row r="51" spans="1:4" s="1" customFormat="1" ht="13.5" thickTop="1">
      <c r="A51" s="13"/>
      <c r="C51" s="57">
        <f>1/C50</f>
        <v>0.13333333333333333</v>
      </c>
      <c r="D51" s="60">
        <f>1/D50</f>
        <v>0.03333333333333333</v>
      </c>
    </row>
    <row r="52" spans="1:5" s="7" customFormat="1" ht="12.75">
      <c r="A52" s="35" t="s">
        <v>24</v>
      </c>
      <c r="B52" s="7" t="s">
        <v>38</v>
      </c>
      <c r="C52" s="56" t="s">
        <v>33</v>
      </c>
      <c r="D52" s="61" t="s">
        <v>32</v>
      </c>
      <c r="E52" s="7" t="s">
        <v>31</v>
      </c>
    </row>
    <row r="53" spans="1:5" s="1" customFormat="1" ht="12.75">
      <c r="A53" s="46">
        <f>1000000/(4*3.1416*3.1416*A50*A50*C53)</f>
        <v>12.217700407675272</v>
      </c>
      <c r="B53" s="10">
        <f>1/(B56/(B53+D50)+(B56*D58)-D58)-C50</f>
        <v>224.20126076876812</v>
      </c>
      <c r="C53" s="58">
        <f>1/(D58+(1/(B53+D50)))</f>
        <v>164.97429517658398</v>
      </c>
      <c r="D53" s="55">
        <f>1/(D58+(1/(B53+C50)))</f>
        <v>155.19366808891448</v>
      </c>
      <c r="E53" s="51">
        <f>1000/(2*3.1415*SQRT(A53*E56))</f>
        <v>3.5979872304681026</v>
      </c>
    </row>
    <row r="54" spans="1:5" s="1" customFormat="1" ht="12.75">
      <c r="A54" s="22"/>
      <c r="B54" s="14"/>
      <c r="C54" s="58">
        <f>1/C53</f>
        <v>0.006061550370193292</v>
      </c>
      <c r="D54" s="59">
        <f>1/D53</f>
        <v>0.006443561856061512</v>
      </c>
      <c r="E54" s="3"/>
    </row>
    <row r="55" spans="1:4" s="1" customFormat="1" ht="13.5" thickBot="1">
      <c r="A55" s="22"/>
      <c r="B55" s="56" t="s">
        <v>39</v>
      </c>
      <c r="C55" s="56" t="s">
        <v>37</v>
      </c>
      <c r="D55" s="27"/>
    </row>
    <row r="56" spans="1:5" s="5" customFormat="1" ht="13.5" thickTop="1">
      <c r="A56" s="53">
        <f>1000/(2*3.1415*SQRT(A53*D53))</f>
        <v>3.655116345694731</v>
      </c>
      <c r="B56" s="55">
        <f>(B50*B50)/(A50*A50)</f>
        <v>1.0630220756304694</v>
      </c>
      <c r="C56" s="59">
        <f>(1/C53)-(1/D57)</f>
        <v>0.003933890795725207</v>
      </c>
      <c r="D56" s="49" t="s">
        <v>34</v>
      </c>
      <c r="E56" s="62">
        <f>1/(D58+(1/(cap._adj+E57)))</f>
        <v>160.16114823640854</v>
      </c>
    </row>
    <row r="57" spans="1:5" s="29" customFormat="1" ht="13.5" thickBot="1">
      <c r="A57" s="54">
        <f>1000/(2*3.1415*SQRT(A53*C53))</f>
        <v>3.545112844182715</v>
      </c>
      <c r="C57" s="34"/>
      <c r="D57" s="47">
        <v>470</v>
      </c>
      <c r="E57" s="63">
        <f>D50-(E50*(D50-C50)/100)</f>
        <v>18.75</v>
      </c>
    </row>
    <row r="58" ht="13.5" thickTop="1">
      <c r="D58" s="52">
        <f>1/D57</f>
        <v>0.002127659574468085</v>
      </c>
    </row>
    <row r="60" ht="15.75" customHeight="1">
      <c r="B60" s="50"/>
    </row>
    <row r="61" spans="1:7" ht="24" customHeight="1">
      <c r="A61" s="79" t="s">
        <v>50</v>
      </c>
      <c r="B61" s="79"/>
      <c r="C61" s="79"/>
      <c r="D61" s="79"/>
      <c r="E61" s="79"/>
      <c r="F61" s="79"/>
      <c r="G61" s="79"/>
    </row>
    <row r="62" spans="1:7" ht="17.25" customHeight="1">
      <c r="A62" s="76" t="s">
        <v>68</v>
      </c>
      <c r="B62" s="76"/>
      <c r="C62" s="76"/>
      <c r="D62" s="76"/>
      <c r="E62" s="76"/>
      <c r="F62" s="76"/>
      <c r="G62" s="76"/>
    </row>
    <row r="63" spans="1:7" ht="19.5" customHeight="1">
      <c r="A63" s="76" t="s">
        <v>49</v>
      </c>
      <c r="B63" s="76"/>
      <c r="C63" s="76"/>
      <c r="D63" s="76"/>
      <c r="E63" s="76"/>
      <c r="F63" s="76"/>
      <c r="G63" s="76"/>
    </row>
    <row r="64" spans="1:7" ht="20.25" customHeight="1">
      <c r="A64" s="76" t="s">
        <v>66</v>
      </c>
      <c r="B64" s="76"/>
      <c r="C64" s="76"/>
      <c r="D64" s="76"/>
      <c r="E64" s="76"/>
      <c r="F64" s="76"/>
      <c r="G64" s="76"/>
    </row>
    <row r="65" spans="1:7" ht="18.75" customHeight="1">
      <c r="A65" s="75" t="s">
        <v>67</v>
      </c>
      <c r="B65" s="75"/>
      <c r="C65" s="75"/>
      <c r="D65" s="75"/>
      <c r="E65" s="75"/>
      <c r="F65" s="75"/>
      <c r="G65" s="75"/>
    </row>
    <row r="66" spans="1:7" ht="21" customHeight="1">
      <c r="A66" s="76" t="s">
        <v>46</v>
      </c>
      <c r="B66" s="76"/>
      <c r="C66" s="76"/>
      <c r="D66" s="76"/>
      <c r="E66" s="76"/>
      <c r="F66" s="76"/>
      <c r="G66" s="76"/>
    </row>
    <row r="68" spans="1:7" ht="22.5" customHeight="1">
      <c r="A68" s="78" t="s">
        <v>54</v>
      </c>
      <c r="B68" s="76"/>
      <c r="C68" s="76"/>
      <c r="D68" s="76"/>
      <c r="E68" s="76"/>
      <c r="F68" s="76"/>
      <c r="G68" s="76"/>
    </row>
    <row r="69" spans="1:7" ht="18" customHeight="1">
      <c r="A69" s="75" t="s">
        <v>57</v>
      </c>
      <c r="B69" s="75"/>
      <c r="C69" s="75"/>
      <c r="D69" s="75"/>
      <c r="E69" s="75"/>
      <c r="F69" s="75"/>
      <c r="G69" s="75"/>
    </row>
    <row r="70" spans="1:6" ht="18" customHeight="1">
      <c r="A70" s="76" t="s">
        <v>56</v>
      </c>
      <c r="B70" s="76"/>
      <c r="C70" s="76"/>
      <c r="D70" s="76"/>
      <c r="E70" s="76"/>
      <c r="F70" s="76"/>
    </row>
    <row r="71" ht="17.25" customHeight="1">
      <c r="A71" t="s">
        <v>55</v>
      </c>
    </row>
    <row r="73" spans="1:7" ht="25.5" customHeight="1">
      <c r="A73" s="78" t="s">
        <v>61</v>
      </c>
      <c r="B73" s="76"/>
      <c r="C73" s="76"/>
      <c r="D73" s="76"/>
      <c r="E73" s="76"/>
      <c r="F73" s="76"/>
      <c r="G73" s="76"/>
    </row>
    <row r="74" spans="1:7" ht="16.5" customHeight="1">
      <c r="A74" s="76" t="s">
        <v>63</v>
      </c>
      <c r="B74" s="76"/>
      <c r="C74" s="76"/>
      <c r="D74" s="76"/>
      <c r="E74" s="76"/>
      <c r="F74" s="76"/>
      <c r="G74" s="76"/>
    </row>
    <row r="75" spans="1:7" ht="12.75">
      <c r="A75" s="76" t="s">
        <v>62</v>
      </c>
      <c r="B75" s="76"/>
      <c r="C75" s="76"/>
      <c r="D75" s="76"/>
      <c r="E75" s="76"/>
      <c r="F75" s="76"/>
      <c r="G75" s="76"/>
    </row>
    <row r="76" spans="1:7" ht="12.75">
      <c r="A76" s="76"/>
      <c r="B76" s="76"/>
      <c r="C76" s="76"/>
      <c r="D76" s="76"/>
      <c r="E76" s="76"/>
      <c r="F76" s="76"/>
      <c r="G76" s="76"/>
    </row>
  </sheetData>
  <sheetProtection selectLockedCells="1"/>
  <mergeCells count="24">
    <mergeCell ref="A8:IV8"/>
    <mergeCell ref="A9:IV9"/>
    <mergeCell ref="A76:G76"/>
    <mergeCell ref="A1:IV1"/>
    <mergeCell ref="A7:IV7"/>
    <mergeCell ref="A2:IV2"/>
    <mergeCell ref="A3:IV3"/>
    <mergeCell ref="A4:IV4"/>
    <mergeCell ref="A6:IV6"/>
    <mergeCell ref="A5:IV5"/>
    <mergeCell ref="A73:G73"/>
    <mergeCell ref="A74:G74"/>
    <mergeCell ref="A75:G75"/>
    <mergeCell ref="A11:IV11"/>
    <mergeCell ref="A64:G64"/>
    <mergeCell ref="A65:G65"/>
    <mergeCell ref="A66:G66"/>
    <mergeCell ref="A61:G61"/>
    <mergeCell ref="A62:G62"/>
    <mergeCell ref="A68:G68"/>
    <mergeCell ref="A69:G69"/>
    <mergeCell ref="A70:F70"/>
    <mergeCell ref="A10:G10"/>
    <mergeCell ref="A63:G63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9" sqref="B1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saulo</dc:creator>
  <cp:keywords/>
  <dc:description/>
  <cp:lastModifiedBy>saulo quaggio</cp:lastModifiedBy>
  <dcterms:created xsi:type="dcterms:W3CDTF">2007-12-09T19:25:21Z</dcterms:created>
  <dcterms:modified xsi:type="dcterms:W3CDTF">2008-12-16T14:28:17Z</dcterms:modified>
  <cp:category/>
  <cp:version/>
  <cp:contentType/>
  <cp:contentStatus/>
</cp:coreProperties>
</file>